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УКС\МК 2025 г\Дядьково (2-ая очередь)\для закупки\"/>
    </mc:Choice>
  </mc:AlternateContent>
  <xr:revisionPtr revIDLastSave="0" documentId="13_ncr:1_{91E9342B-C69B-496D-91E6-8A3F8E2C71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 " sheetId="2" r:id="rId1"/>
  </sheets>
  <calcPr calcId="181029" iterate="1"/>
</workbook>
</file>

<file path=xl/calcChain.xml><?xml version="1.0" encoding="utf-8"?>
<calcChain xmlns="http://schemas.openxmlformats.org/spreadsheetml/2006/main">
  <c r="E12" i="2" l="1"/>
  <c r="E38" i="2"/>
  <c r="E29" i="2"/>
  <c r="E23" i="2"/>
  <c r="E11" i="2"/>
  <c r="E37" i="2"/>
  <c r="E33" i="2"/>
  <c r="E31" i="2"/>
  <c r="E30" i="2"/>
  <c r="E19" i="2"/>
  <c r="E18" i="2"/>
  <c r="F38" i="2" l="1"/>
  <c r="E25" i="2"/>
  <c r="F25" i="2" s="1"/>
  <c r="E40" i="2"/>
  <c r="F40" i="2" s="1"/>
  <c r="E39" i="2"/>
  <c r="F39" i="2" s="1"/>
  <c r="F37" i="2"/>
  <c r="E36" i="2"/>
  <c r="F36" i="2" s="1"/>
  <c r="E35" i="2"/>
  <c r="F35" i="2" s="1"/>
  <c r="E34" i="2"/>
  <c r="F34" i="2" s="1"/>
  <c r="F33" i="2"/>
  <c r="E32" i="2"/>
  <c r="F32" i="2" s="1"/>
  <c r="F31" i="2"/>
  <c r="F30" i="2"/>
  <c r="F29" i="2"/>
  <c r="E28" i="2"/>
  <c r="F28" i="2" s="1"/>
  <c r="E27" i="2"/>
  <c r="F27" i="2" s="1"/>
  <c r="E26" i="2"/>
  <c r="F26" i="2" s="1"/>
  <c r="E24" i="2"/>
  <c r="F24" i="2" s="1"/>
  <c r="F23" i="2"/>
  <c r="E22" i="2"/>
  <c r="F22" i="2" s="1"/>
  <c r="E21" i="2"/>
  <c r="F21" i="2" s="1"/>
  <c r="E20" i="2"/>
  <c r="F20" i="2" s="1"/>
  <c r="F19" i="2"/>
  <c r="F18" i="2"/>
  <c r="E17" i="2"/>
  <c r="F17" i="2" s="1"/>
  <c r="E16" i="2"/>
  <c r="F16" i="2" s="1"/>
  <c r="E15" i="2"/>
  <c r="F15" i="2" s="1"/>
  <c r="E14" i="2"/>
  <c r="F14" i="2" s="1"/>
  <c r="E13" i="2"/>
  <c r="F13" i="2" s="1"/>
  <c r="F12" i="2"/>
  <c r="F11" i="2"/>
  <c r="F41" i="2" l="1"/>
  <c r="F42" i="2" s="1"/>
  <c r="F43" i="2" s="1"/>
  <c r="F44" i="2" s="1"/>
</calcChain>
</file>

<file path=xl/sharedStrings.xml><?xml version="1.0" encoding="utf-8"?>
<sst xmlns="http://schemas.openxmlformats.org/spreadsheetml/2006/main" count="115" uniqueCount="85">
  <si>
    <t>(наименование объекта)</t>
  </si>
  <si>
    <t>Наименование конструктивных решений (элементов), комплексов (видов) работ</t>
  </si>
  <si>
    <t>Единица измерения</t>
  </si>
  <si>
    <t>Цена, руб.</t>
  </si>
  <si>
    <t>На единицу измерения</t>
  </si>
  <si>
    <t>Всего</t>
  </si>
  <si>
    <t>1</t>
  </si>
  <si>
    <t>2</t>
  </si>
  <si>
    <t>3</t>
  </si>
  <si>
    <t>4</t>
  </si>
  <si>
    <t>5</t>
  </si>
  <si>
    <t>6</t>
  </si>
  <si>
    <t>Итого</t>
  </si>
  <si>
    <t>Начальная (максимальная) цена контракта без НДС</t>
  </si>
  <si>
    <t>Начальная (максимальная) цена контракта с НДС</t>
  </si>
  <si>
    <t>Количе-ство            (объем работ)</t>
  </si>
  <si>
    <t>НДС 20%</t>
  </si>
  <si>
    <t>Подрядчик   ___________________________________________________________________</t>
  </si>
  <si>
    <t>№ ЛСР</t>
  </si>
  <si>
    <t>02-01-01</t>
  </si>
  <si>
    <t>02-01-02</t>
  </si>
  <si>
    <t>02-01-03</t>
  </si>
  <si>
    <t>02-01-04</t>
  </si>
  <si>
    <t>02-01-05</t>
  </si>
  <si>
    <t>02-01-06</t>
  </si>
  <si>
    <t>02-01-07</t>
  </si>
  <si>
    <t>02-01-08</t>
  </si>
  <si>
    <t>02-01-09</t>
  </si>
  <si>
    <t>02-01-10</t>
  </si>
  <si>
    <t>02-01-11</t>
  </si>
  <si>
    <t>02-01-12</t>
  </si>
  <si>
    <t>02-01-13</t>
  </si>
  <si>
    <t>02-01-14</t>
  </si>
  <si>
    <t>02-01-15</t>
  </si>
  <si>
    <t>02-01-16</t>
  </si>
  <si>
    <t>02-01-17</t>
  </si>
  <si>
    <t>02-01-19</t>
  </si>
  <si>
    <t>04-01-01</t>
  </si>
  <si>
    <t>06-01-01</t>
  </si>
  <si>
    <t>06-01-02</t>
  </si>
  <si>
    <t>06-01-03</t>
  </si>
  <si>
    <t>06-01-04</t>
  </si>
  <si>
    <t>07-01-01</t>
  </si>
  <si>
    <t>07-01-02</t>
  </si>
  <si>
    <t>07-01-03</t>
  </si>
  <si>
    <t>07-01-04</t>
  </si>
  <si>
    <t>07-01-05</t>
  </si>
  <si>
    <t>07-01-06</t>
  </si>
  <si>
    <t>07-01-07</t>
  </si>
  <si>
    <t>Объемно - планировочные и архитектурные решения</t>
  </si>
  <si>
    <t>Конструктивные решения Часть 3 "Выше отм. 0.000: Фундаменты"</t>
  </si>
  <si>
    <t>Фундаменты под жироуловитель, котельную, КНС и резервуары ливневой канализации</t>
  </si>
  <si>
    <t>Конструктивные решения Часть 2 "Ниже отм. 0.000"</t>
  </si>
  <si>
    <t>Внутреннее водоснабжение</t>
  </si>
  <si>
    <t>Внутренняя канализация</t>
  </si>
  <si>
    <t>Отопление</t>
  </si>
  <si>
    <t>Теплоснабжение калориферов</t>
  </si>
  <si>
    <t>Дымоудаление</t>
  </si>
  <si>
    <t>Вентиляция</t>
  </si>
  <si>
    <t>Индивидуальный тепловой пункт</t>
  </si>
  <si>
    <t>Сети связи</t>
  </si>
  <si>
    <t>Системы технической безопасности</t>
  </si>
  <si>
    <t>Мультимедийные системы</t>
  </si>
  <si>
    <t>Системы пожарной автоматики и оповещения</t>
  </si>
  <si>
    <t>Электроосвещение</t>
  </si>
  <si>
    <t>Электросиловое оборудование</t>
  </si>
  <si>
    <t>Монтаж лифтов</t>
  </si>
  <si>
    <t>Сети 0,4 кВ</t>
  </si>
  <si>
    <t>Наружные сети водоснабжения</t>
  </si>
  <si>
    <t>Наружные сети водоотведения</t>
  </si>
  <si>
    <t>Тепловые сети</t>
  </si>
  <si>
    <t>Внешний газопровод</t>
  </si>
  <si>
    <t>Устройство твердых покрытий</t>
  </si>
  <si>
    <t>Озеленение</t>
  </si>
  <si>
    <t>Малые архитектурные формы и спортивные площадки</t>
  </si>
  <si>
    <t>Ограждение</t>
  </si>
  <si>
    <t>Дорожные знаки</t>
  </si>
  <si>
    <t>Землянные массы</t>
  </si>
  <si>
    <t>Наружное освещение</t>
  </si>
  <si>
    <t>Строительство 2-ой очереди школы на 1050 учащихся, в с. Дядьково,                                                                                                           Рязанского района Рязанской области</t>
  </si>
  <si>
    <t xml:space="preserve">                                                                                                                                                                          (должность, подпись, инициалы, фамилия)</t>
  </si>
  <si>
    <r>
      <t xml:space="preserve">Заказчик       </t>
    </r>
    <r>
      <rPr>
        <u/>
        <sz val="10"/>
        <rFont val="Times New Roman"/>
        <family val="1"/>
        <charset val="204"/>
      </rPr>
      <t xml:space="preserve">   Директор МКУ "УКС Рязанского района"                                        Коршунов К. И.     </t>
    </r>
  </si>
  <si>
    <t>ПРОЕКТ СМЕТЫ КОНТРАКТА</t>
  </si>
  <si>
    <t>шт</t>
  </si>
  <si>
    <t xml:space="preserve">Приложение №4
к муниципальному контракту №__
от «___» _______ 20__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</si>
</sst>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;\-#\ ##0"/>
  </numFmts>
  <fonts count="9" x14ac:knownFonts="1">
    <font>
      <sz val="8"/>
      <name val="Verdana"/>
      <charset val="204"/>
    </font>
    <font>
      <sz val="8"/>
      <name val="Verdana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6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164" fontId="5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top"/>
    </xf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3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2DE3C-BE85-47E2-BC9F-78E1CB0C92B4}">
  <dimension ref="A1:M52"/>
  <sheetViews>
    <sheetView tabSelected="1" zoomScaleNormal="100" workbookViewId="0">
      <selection activeCell="A5" sqref="A5:F5"/>
    </sheetView>
  </sheetViews>
  <sheetFormatPr defaultRowHeight="10.5" x14ac:dyDescent="0.15"/>
  <cols>
    <col min="1" max="1" width="9.5703125" bestFit="1" customWidth="1"/>
    <col min="2" max="2" width="42.140625" customWidth="1"/>
    <col min="3" max="3" width="10.85546875" customWidth="1"/>
    <col min="4" max="4" width="8.5703125" customWidth="1"/>
    <col min="5" max="5" width="15" customWidth="1"/>
    <col min="6" max="6" width="16.7109375" customWidth="1"/>
    <col min="7" max="7" width="7.7109375" customWidth="1"/>
    <col min="8" max="8" width="6.42578125" customWidth="1"/>
    <col min="9" max="9" width="30.7109375" customWidth="1"/>
    <col min="10" max="11" width="10.5703125" customWidth="1"/>
    <col min="12" max="12" width="2.140625" customWidth="1"/>
    <col min="13" max="13" width="0.28515625" customWidth="1"/>
  </cols>
  <sheetData>
    <row r="1" spans="1:6" ht="84" customHeight="1" x14ac:dyDescent="0.15">
      <c r="E1" s="25" t="s">
        <v>84</v>
      </c>
      <c r="F1" s="25"/>
    </row>
    <row r="3" spans="1:6" ht="15.75" x14ac:dyDescent="0.15">
      <c r="A3" s="17" t="s">
        <v>82</v>
      </c>
      <c r="B3" s="17"/>
      <c r="C3" s="17"/>
      <c r="D3" s="17"/>
      <c r="E3" s="17"/>
      <c r="F3" s="17"/>
    </row>
    <row r="4" spans="1:6" ht="9.75" customHeight="1" x14ac:dyDescent="0.15">
      <c r="A4" s="18"/>
      <c r="B4" s="18"/>
      <c r="C4" s="18"/>
      <c r="D4" s="18"/>
      <c r="E4" s="18"/>
      <c r="F4" s="18"/>
    </row>
    <row r="5" spans="1:6" ht="27" customHeight="1" x14ac:dyDescent="0.15">
      <c r="A5" s="19" t="s">
        <v>79</v>
      </c>
      <c r="B5" s="19"/>
      <c r="C5" s="19"/>
      <c r="D5" s="19"/>
      <c r="E5" s="19"/>
      <c r="F5" s="19"/>
    </row>
    <row r="6" spans="1:6" x14ac:dyDescent="0.15">
      <c r="A6" s="20" t="s">
        <v>0</v>
      </c>
      <c r="B6" s="20"/>
      <c r="C6" s="20"/>
      <c r="D6" s="20"/>
      <c r="E6" s="20"/>
      <c r="F6" s="20"/>
    </row>
    <row r="7" spans="1:6" ht="15.75" x14ac:dyDescent="0.15">
      <c r="A7" s="18"/>
      <c r="B7" s="18"/>
      <c r="C7" s="18"/>
      <c r="D7" s="18"/>
      <c r="E7" s="18"/>
      <c r="F7" s="18"/>
    </row>
    <row r="8" spans="1:6" ht="30" customHeight="1" x14ac:dyDescent="0.15">
      <c r="A8" s="16" t="s">
        <v>18</v>
      </c>
      <c r="B8" s="16" t="s">
        <v>1</v>
      </c>
      <c r="C8" s="16" t="s">
        <v>2</v>
      </c>
      <c r="D8" s="16" t="s">
        <v>15</v>
      </c>
      <c r="E8" s="16" t="s">
        <v>3</v>
      </c>
      <c r="F8" s="16"/>
    </row>
    <row r="9" spans="1:6" ht="34.5" customHeight="1" x14ac:dyDescent="0.15">
      <c r="A9" s="16"/>
      <c r="B9" s="16"/>
      <c r="C9" s="16"/>
      <c r="D9" s="16"/>
      <c r="E9" s="5" t="s">
        <v>4</v>
      </c>
      <c r="F9" s="5" t="s">
        <v>5</v>
      </c>
    </row>
    <row r="10" spans="1:6" ht="12.75" x14ac:dyDescent="0.15">
      <c r="A10" s="6" t="s">
        <v>6</v>
      </c>
      <c r="B10" s="6" t="s">
        <v>7</v>
      </c>
      <c r="C10" s="6" t="s">
        <v>8</v>
      </c>
      <c r="D10" s="6" t="s">
        <v>9</v>
      </c>
      <c r="E10" s="6" t="s">
        <v>10</v>
      </c>
      <c r="F10" s="6" t="s">
        <v>11</v>
      </c>
    </row>
    <row r="11" spans="1:6" ht="25.5" x14ac:dyDescent="0.15">
      <c r="A11" s="7" t="s">
        <v>19</v>
      </c>
      <c r="B11" s="8" t="s">
        <v>49</v>
      </c>
      <c r="C11" s="5" t="s">
        <v>83</v>
      </c>
      <c r="D11" s="9">
        <v>1</v>
      </c>
      <c r="E11" s="10">
        <f>ROUND(268698140.5*0.9912*1.05,2)</f>
        <v>279650276.70999998</v>
      </c>
      <c r="F11" s="10">
        <f>D11*E11</f>
        <v>279650276.70999998</v>
      </c>
    </row>
    <row r="12" spans="1:6" ht="25.5" x14ac:dyDescent="0.15">
      <c r="A12" s="7" t="s">
        <v>20</v>
      </c>
      <c r="B12" s="8" t="s">
        <v>50</v>
      </c>
      <c r="C12" s="5" t="s">
        <v>83</v>
      </c>
      <c r="D12" s="9">
        <v>1</v>
      </c>
      <c r="E12" s="10">
        <f>ROUND(316672895.65*0.9912*1.05,2)</f>
        <v>329580482.88</v>
      </c>
      <c r="F12" s="10">
        <f t="shared" ref="F12:F40" si="0">D12*E12</f>
        <v>329580482.88</v>
      </c>
    </row>
    <row r="13" spans="1:6" ht="25.5" x14ac:dyDescent="0.15">
      <c r="A13" s="7" t="s">
        <v>21</v>
      </c>
      <c r="B13" s="8" t="s">
        <v>51</v>
      </c>
      <c r="C13" s="5" t="s">
        <v>83</v>
      </c>
      <c r="D13" s="9">
        <v>1</v>
      </c>
      <c r="E13" s="10">
        <f>ROUND(1835918.93*0.9912*1.05,2)</f>
        <v>1910750.99</v>
      </c>
      <c r="F13" s="10">
        <f t="shared" si="0"/>
        <v>1910750.99</v>
      </c>
    </row>
    <row r="14" spans="1:6" ht="25.5" x14ac:dyDescent="0.15">
      <c r="A14" s="7" t="s">
        <v>22</v>
      </c>
      <c r="B14" s="8" t="s">
        <v>52</v>
      </c>
      <c r="C14" s="5" t="s">
        <v>83</v>
      </c>
      <c r="D14" s="9">
        <v>1</v>
      </c>
      <c r="E14" s="10">
        <f>ROUND(16558152.89*0.9912*1.05,2)</f>
        <v>17233063.199999999</v>
      </c>
      <c r="F14" s="10">
        <f t="shared" si="0"/>
        <v>17233063.199999999</v>
      </c>
    </row>
    <row r="15" spans="1:6" ht="12.75" x14ac:dyDescent="0.15">
      <c r="A15" s="7" t="s">
        <v>23</v>
      </c>
      <c r="B15" s="8" t="s">
        <v>53</v>
      </c>
      <c r="C15" s="5" t="s">
        <v>83</v>
      </c>
      <c r="D15" s="9">
        <v>1</v>
      </c>
      <c r="E15" s="10">
        <f>ROUND(3613606.19*0.9912*1.05,2)</f>
        <v>3760896.78</v>
      </c>
      <c r="F15" s="10">
        <f t="shared" si="0"/>
        <v>3760896.78</v>
      </c>
    </row>
    <row r="16" spans="1:6" ht="12.75" x14ac:dyDescent="0.15">
      <c r="A16" s="7" t="s">
        <v>24</v>
      </c>
      <c r="B16" s="8" t="s">
        <v>54</v>
      </c>
      <c r="C16" s="5" t="s">
        <v>83</v>
      </c>
      <c r="D16" s="9">
        <v>1</v>
      </c>
      <c r="E16" s="10">
        <f>ROUND(7011737.39*0.9912*1.05,2)</f>
        <v>7297535.8099999996</v>
      </c>
      <c r="F16" s="10">
        <f t="shared" si="0"/>
        <v>7297535.8099999996</v>
      </c>
    </row>
    <row r="17" spans="1:6" ht="12.75" x14ac:dyDescent="0.15">
      <c r="A17" s="7" t="s">
        <v>25</v>
      </c>
      <c r="B17" s="8" t="s">
        <v>55</v>
      </c>
      <c r="C17" s="5" t="s">
        <v>83</v>
      </c>
      <c r="D17" s="9">
        <v>1</v>
      </c>
      <c r="E17" s="10">
        <f>ROUND(29196420.42*0.9912*1.05,2)</f>
        <v>30386466.52</v>
      </c>
      <c r="F17" s="10">
        <f t="shared" si="0"/>
        <v>30386466.52</v>
      </c>
    </row>
    <row r="18" spans="1:6" ht="12.75" x14ac:dyDescent="0.15">
      <c r="A18" s="7" t="s">
        <v>26</v>
      </c>
      <c r="B18" s="8" t="s">
        <v>56</v>
      </c>
      <c r="C18" s="5" t="s">
        <v>83</v>
      </c>
      <c r="D18" s="9">
        <v>1</v>
      </c>
      <c r="E18" s="10">
        <f>ROUND(1881001.87*0.9912*1.05,2)</f>
        <v>1957671.51</v>
      </c>
      <c r="F18" s="10">
        <f t="shared" si="0"/>
        <v>1957671.51</v>
      </c>
    </row>
    <row r="19" spans="1:6" ht="12.75" x14ac:dyDescent="0.15">
      <c r="A19" s="7" t="s">
        <v>27</v>
      </c>
      <c r="B19" s="8" t="s">
        <v>57</v>
      </c>
      <c r="C19" s="5" t="s">
        <v>83</v>
      </c>
      <c r="D19" s="9">
        <v>1</v>
      </c>
      <c r="E19" s="10">
        <f>ROUND(18481219.13*0.9912*1.05,2)</f>
        <v>19234513.620000001</v>
      </c>
      <c r="F19" s="10">
        <f t="shared" si="0"/>
        <v>19234513.620000001</v>
      </c>
    </row>
    <row r="20" spans="1:6" ht="12.75" x14ac:dyDescent="0.15">
      <c r="A20" s="7" t="s">
        <v>28</v>
      </c>
      <c r="B20" s="8" t="s">
        <v>58</v>
      </c>
      <c r="C20" s="5" t="s">
        <v>83</v>
      </c>
      <c r="D20" s="9">
        <v>1</v>
      </c>
      <c r="E20" s="10">
        <f>ROUND(30614157.48*0.9912*1.05,2)</f>
        <v>31861990.539999999</v>
      </c>
      <c r="F20" s="10">
        <f t="shared" si="0"/>
        <v>31861990.539999999</v>
      </c>
    </row>
    <row r="21" spans="1:6" ht="12.75" x14ac:dyDescent="0.15">
      <c r="A21" s="7" t="s">
        <v>29</v>
      </c>
      <c r="B21" s="8" t="s">
        <v>59</v>
      </c>
      <c r="C21" s="5" t="s">
        <v>83</v>
      </c>
      <c r="D21" s="9">
        <v>1</v>
      </c>
      <c r="E21" s="10">
        <f>ROUND(4542062.67*0.9912*1.05,2)</f>
        <v>4727197.1399999997</v>
      </c>
      <c r="F21" s="10">
        <f t="shared" si="0"/>
        <v>4727197.1399999997</v>
      </c>
    </row>
    <row r="22" spans="1:6" ht="12.75" x14ac:dyDescent="0.15">
      <c r="A22" s="7" t="s">
        <v>30</v>
      </c>
      <c r="B22" s="8" t="s">
        <v>60</v>
      </c>
      <c r="C22" s="5" t="s">
        <v>83</v>
      </c>
      <c r="D22" s="9">
        <v>1</v>
      </c>
      <c r="E22" s="10">
        <f>ROUND(20452505.35*0.9912*1.05,2)</f>
        <v>21286149.469999999</v>
      </c>
      <c r="F22" s="10">
        <f t="shared" si="0"/>
        <v>21286149.469999999</v>
      </c>
    </row>
    <row r="23" spans="1:6" ht="12.75" x14ac:dyDescent="0.15">
      <c r="A23" s="7" t="s">
        <v>31</v>
      </c>
      <c r="B23" s="8" t="s">
        <v>61</v>
      </c>
      <c r="C23" s="5" t="s">
        <v>83</v>
      </c>
      <c r="D23" s="9">
        <v>1</v>
      </c>
      <c r="E23" s="10">
        <f>ROUND(16374322.05*0.9912*1.05,2)</f>
        <v>17041739.420000002</v>
      </c>
      <c r="F23" s="10">
        <f t="shared" si="0"/>
        <v>17041739.420000002</v>
      </c>
    </row>
    <row r="24" spans="1:6" ht="12.75" x14ac:dyDescent="0.15">
      <c r="A24" s="7" t="s">
        <v>32</v>
      </c>
      <c r="B24" s="8" t="s">
        <v>62</v>
      </c>
      <c r="C24" s="5" t="s">
        <v>83</v>
      </c>
      <c r="D24" s="9">
        <v>1</v>
      </c>
      <c r="E24" s="10">
        <f>ROUND(3451212.64*0.9912*1.05,2)</f>
        <v>3591884.07</v>
      </c>
      <c r="F24" s="10">
        <f t="shared" si="0"/>
        <v>3591884.07</v>
      </c>
    </row>
    <row r="25" spans="1:6" ht="12.75" x14ac:dyDescent="0.15">
      <c r="A25" s="7" t="s">
        <v>33</v>
      </c>
      <c r="B25" s="8" t="s">
        <v>63</v>
      </c>
      <c r="C25" s="5" t="s">
        <v>83</v>
      </c>
      <c r="D25" s="9">
        <v>1</v>
      </c>
      <c r="E25" s="10">
        <f>ROUND(106260161.42*0.9912*1.05,2)</f>
        <v>110591325.59999999</v>
      </c>
      <c r="F25" s="10">
        <f t="shared" si="0"/>
        <v>110591325.59999999</v>
      </c>
    </row>
    <row r="26" spans="1:6" ht="12.75" x14ac:dyDescent="0.15">
      <c r="A26" s="7" t="s">
        <v>34</v>
      </c>
      <c r="B26" s="8" t="s">
        <v>64</v>
      </c>
      <c r="C26" s="5" t="s">
        <v>83</v>
      </c>
      <c r="D26" s="9">
        <v>1</v>
      </c>
      <c r="E26" s="10">
        <f>ROUND(30826112.26*0.9912*1.05,2)</f>
        <v>32082584.600000001</v>
      </c>
      <c r="F26" s="10">
        <f t="shared" si="0"/>
        <v>32082584.600000001</v>
      </c>
    </row>
    <row r="27" spans="1:6" ht="12.75" x14ac:dyDescent="0.15">
      <c r="A27" s="7" t="s">
        <v>35</v>
      </c>
      <c r="B27" s="8" t="s">
        <v>65</v>
      </c>
      <c r="C27" s="5" t="s">
        <v>83</v>
      </c>
      <c r="D27" s="9">
        <v>1</v>
      </c>
      <c r="E27" s="10">
        <f>ROUND(19328695.75*0.9912*1.05,2)</f>
        <v>20116533.390000001</v>
      </c>
      <c r="F27" s="10">
        <f t="shared" si="0"/>
        <v>20116533.390000001</v>
      </c>
    </row>
    <row r="28" spans="1:6" ht="12.75" x14ac:dyDescent="0.15">
      <c r="A28" s="7" t="s">
        <v>36</v>
      </c>
      <c r="B28" s="8" t="s">
        <v>66</v>
      </c>
      <c r="C28" s="5" t="s">
        <v>83</v>
      </c>
      <c r="D28" s="9">
        <v>1</v>
      </c>
      <c r="E28" s="10">
        <f>ROUND(8716509.49*0.9912*1.05,2)</f>
        <v>9071794.4199999999</v>
      </c>
      <c r="F28" s="10">
        <f t="shared" si="0"/>
        <v>9071794.4199999999</v>
      </c>
    </row>
    <row r="29" spans="1:6" ht="12.75" x14ac:dyDescent="0.15">
      <c r="A29" s="7" t="s">
        <v>37</v>
      </c>
      <c r="B29" s="8" t="s">
        <v>67</v>
      </c>
      <c r="C29" s="5" t="s">
        <v>83</v>
      </c>
      <c r="D29" s="9">
        <v>1</v>
      </c>
      <c r="E29" s="10">
        <f>ROUND(1035365.28*0.9912*1.05,2)</f>
        <v>1077566.77</v>
      </c>
      <c r="F29" s="10">
        <f t="shared" si="0"/>
        <v>1077566.77</v>
      </c>
    </row>
    <row r="30" spans="1:6" ht="12.75" x14ac:dyDescent="0.15">
      <c r="A30" s="7" t="s">
        <v>38</v>
      </c>
      <c r="B30" s="8" t="s">
        <v>68</v>
      </c>
      <c r="C30" s="5" t="s">
        <v>83</v>
      </c>
      <c r="D30" s="9">
        <v>1</v>
      </c>
      <c r="E30" s="10">
        <f>ROUND(5581377.12*0.9912*1.05,2)</f>
        <v>5808874.0499999998</v>
      </c>
      <c r="F30" s="10">
        <f t="shared" si="0"/>
        <v>5808874.0499999998</v>
      </c>
    </row>
    <row r="31" spans="1:6" ht="12.75" x14ac:dyDescent="0.15">
      <c r="A31" s="7" t="s">
        <v>39</v>
      </c>
      <c r="B31" s="8" t="s">
        <v>69</v>
      </c>
      <c r="C31" s="5" t="s">
        <v>83</v>
      </c>
      <c r="D31" s="9">
        <v>1</v>
      </c>
      <c r="E31" s="10">
        <f>ROUND(11217090.89*0.9912*1.05,2)</f>
        <v>11674299.51</v>
      </c>
      <c r="F31" s="10">
        <f t="shared" si="0"/>
        <v>11674299.51</v>
      </c>
    </row>
    <row r="32" spans="1:6" ht="12.75" x14ac:dyDescent="0.15">
      <c r="A32" s="7" t="s">
        <v>40</v>
      </c>
      <c r="B32" s="8" t="s">
        <v>70</v>
      </c>
      <c r="C32" s="5" t="s">
        <v>83</v>
      </c>
      <c r="D32" s="9">
        <v>1</v>
      </c>
      <c r="E32" s="10">
        <f>ROUND(3763273.43*0.9912*1.05,2)</f>
        <v>3916664.46</v>
      </c>
      <c r="F32" s="10">
        <f t="shared" si="0"/>
        <v>3916664.46</v>
      </c>
    </row>
    <row r="33" spans="1:6" ht="12.75" x14ac:dyDescent="0.15">
      <c r="A33" s="7" t="s">
        <v>41</v>
      </c>
      <c r="B33" s="8" t="s">
        <v>71</v>
      </c>
      <c r="C33" s="5" t="s">
        <v>83</v>
      </c>
      <c r="D33" s="9">
        <v>1</v>
      </c>
      <c r="E33" s="10">
        <f>ROUND(19469850.3*0.9912*1.05,2)</f>
        <v>20263441.399999999</v>
      </c>
      <c r="F33" s="10">
        <f t="shared" si="0"/>
        <v>20263441.399999999</v>
      </c>
    </row>
    <row r="34" spans="1:6" ht="12.75" x14ac:dyDescent="0.15">
      <c r="A34" s="7" t="s">
        <v>42</v>
      </c>
      <c r="B34" s="8" t="s">
        <v>72</v>
      </c>
      <c r="C34" s="5" t="s">
        <v>83</v>
      </c>
      <c r="D34" s="9">
        <v>1</v>
      </c>
      <c r="E34" s="10">
        <f>ROUND(26109807.81*0.9912*1.05,2)</f>
        <v>27174043.579999998</v>
      </c>
      <c r="F34" s="10">
        <f t="shared" si="0"/>
        <v>27174043.579999998</v>
      </c>
    </row>
    <row r="35" spans="1:6" ht="12.75" x14ac:dyDescent="0.15">
      <c r="A35" s="7" t="s">
        <v>43</v>
      </c>
      <c r="B35" s="8" t="s">
        <v>73</v>
      </c>
      <c r="C35" s="5" t="s">
        <v>83</v>
      </c>
      <c r="D35" s="9">
        <v>1</v>
      </c>
      <c r="E35" s="10">
        <f>ROUND(3678932.16*0.9912*1.05,2)</f>
        <v>3828885.43</v>
      </c>
      <c r="F35" s="10">
        <f t="shared" si="0"/>
        <v>3828885.43</v>
      </c>
    </row>
    <row r="36" spans="1:6" ht="25.5" x14ac:dyDescent="0.15">
      <c r="A36" s="7" t="s">
        <v>44</v>
      </c>
      <c r="B36" s="8" t="s">
        <v>74</v>
      </c>
      <c r="C36" s="5" t="s">
        <v>83</v>
      </c>
      <c r="D36" s="9">
        <v>1</v>
      </c>
      <c r="E36" s="10">
        <f>ROUND(1029782.81*0.9912*1.05,2)</f>
        <v>1071756.76</v>
      </c>
      <c r="F36" s="10">
        <f t="shared" si="0"/>
        <v>1071756.76</v>
      </c>
    </row>
    <row r="37" spans="1:6" ht="12.75" x14ac:dyDescent="0.15">
      <c r="A37" s="7" t="s">
        <v>45</v>
      </c>
      <c r="B37" s="8" t="s">
        <v>75</v>
      </c>
      <c r="C37" s="5" t="s">
        <v>83</v>
      </c>
      <c r="D37" s="9">
        <v>1</v>
      </c>
      <c r="E37" s="10">
        <f>ROUND(3881623.78*0.9912*1.05,2)</f>
        <v>4039838.77</v>
      </c>
      <c r="F37" s="10">
        <f t="shared" si="0"/>
        <v>4039838.77</v>
      </c>
    </row>
    <row r="38" spans="1:6" ht="12.75" x14ac:dyDescent="0.15">
      <c r="A38" s="7" t="s">
        <v>46</v>
      </c>
      <c r="B38" s="8" t="s">
        <v>76</v>
      </c>
      <c r="C38" s="5" t="s">
        <v>83</v>
      </c>
      <c r="D38" s="9">
        <v>1</v>
      </c>
      <c r="E38" s="10">
        <f>ROUND(78162.56*0.9912*1.05,2)</f>
        <v>81348.47</v>
      </c>
      <c r="F38" s="10">
        <f t="shared" si="0"/>
        <v>81348.47</v>
      </c>
    </row>
    <row r="39" spans="1:6" ht="12.75" x14ac:dyDescent="0.15">
      <c r="A39" s="7" t="s">
        <v>47</v>
      </c>
      <c r="B39" s="8" t="s">
        <v>77</v>
      </c>
      <c r="C39" s="5" t="s">
        <v>83</v>
      </c>
      <c r="D39" s="9">
        <v>1</v>
      </c>
      <c r="E39" s="10">
        <f>ROUND(17575347.46*0.9912*1.05,2)</f>
        <v>18291718.620000001</v>
      </c>
      <c r="F39" s="10">
        <f t="shared" si="0"/>
        <v>18291718.620000001</v>
      </c>
    </row>
    <row r="40" spans="1:6" ht="12.75" x14ac:dyDescent="0.15">
      <c r="A40" s="7" t="s">
        <v>48</v>
      </c>
      <c r="B40" s="8" t="s">
        <v>78</v>
      </c>
      <c r="C40" s="5" t="s">
        <v>83</v>
      </c>
      <c r="D40" s="9">
        <v>1</v>
      </c>
      <c r="E40" s="10">
        <f>ROUND(3054718.35*0.9912*1.05,2)</f>
        <v>3179228.67</v>
      </c>
      <c r="F40" s="10">
        <f t="shared" si="0"/>
        <v>3179228.67</v>
      </c>
    </row>
    <row r="41" spans="1:6" ht="12.75" x14ac:dyDescent="0.15">
      <c r="A41" s="6"/>
      <c r="B41" s="11" t="s">
        <v>12</v>
      </c>
      <c r="C41" s="12"/>
      <c r="D41" s="12"/>
      <c r="E41" s="12"/>
      <c r="F41" s="13">
        <f>SUM(F11:F40)</f>
        <v>1041790523.1599997</v>
      </c>
    </row>
    <row r="42" spans="1:6" ht="25.5" x14ac:dyDescent="0.15">
      <c r="A42" s="6"/>
      <c r="B42" s="11" t="s">
        <v>13</v>
      </c>
      <c r="C42" s="12"/>
      <c r="D42" s="12"/>
      <c r="E42" s="12"/>
      <c r="F42" s="13">
        <f>F41</f>
        <v>1041790523.1599997</v>
      </c>
    </row>
    <row r="43" spans="1:6" ht="12.75" x14ac:dyDescent="0.15">
      <c r="A43" s="6"/>
      <c r="B43" s="11" t="s">
        <v>16</v>
      </c>
      <c r="C43" s="12"/>
      <c r="D43" s="12"/>
      <c r="E43" s="12"/>
      <c r="F43" s="13">
        <f>ROUND(F42*0.2,2)</f>
        <v>208358104.63</v>
      </c>
    </row>
    <row r="44" spans="1:6" ht="25.5" x14ac:dyDescent="0.15">
      <c r="A44" s="6"/>
      <c r="B44" s="11" t="s">
        <v>14</v>
      </c>
      <c r="C44" s="12"/>
      <c r="D44" s="12"/>
      <c r="E44" s="12"/>
      <c r="F44" s="13">
        <f>ROUND(F42+F43,2)</f>
        <v>1250148627.79</v>
      </c>
    </row>
    <row r="45" spans="1:6" ht="15.75" x14ac:dyDescent="0.15">
      <c r="A45" s="2"/>
      <c r="B45" s="3"/>
      <c r="C45" s="2"/>
      <c r="D45" s="2"/>
      <c r="E45" s="2"/>
      <c r="F45" s="4"/>
    </row>
    <row r="46" spans="1:6" ht="12.75" x14ac:dyDescent="0.15">
      <c r="A46" s="14"/>
      <c r="B46" s="21" t="s">
        <v>81</v>
      </c>
      <c r="C46" s="22"/>
      <c r="D46" s="22"/>
      <c r="E46" s="22"/>
      <c r="F46" s="22"/>
    </row>
    <row r="47" spans="1:6" x14ac:dyDescent="0.15">
      <c r="A47" s="23" t="s">
        <v>80</v>
      </c>
      <c r="B47" s="24"/>
      <c r="C47" s="24"/>
      <c r="D47" s="24"/>
      <c r="E47" s="24"/>
      <c r="F47" s="24"/>
    </row>
    <row r="48" spans="1:6" ht="12.75" x14ac:dyDescent="0.15">
      <c r="A48" s="21"/>
      <c r="B48" s="21"/>
      <c r="C48" s="21"/>
      <c r="D48" s="21"/>
      <c r="E48" s="21"/>
      <c r="F48" s="21"/>
    </row>
    <row r="49" spans="1:6" ht="12.75" x14ac:dyDescent="0.15">
      <c r="A49" s="14"/>
      <c r="B49" s="21" t="s">
        <v>17</v>
      </c>
      <c r="C49" s="22"/>
      <c r="D49" s="22"/>
      <c r="E49" s="22"/>
      <c r="F49" s="22"/>
    </row>
    <row r="50" spans="1:6" x14ac:dyDescent="0.15">
      <c r="A50" s="23" t="s">
        <v>80</v>
      </c>
      <c r="B50" s="24"/>
      <c r="C50" s="24"/>
      <c r="D50" s="24"/>
      <c r="E50" s="24"/>
      <c r="F50" s="24"/>
    </row>
    <row r="51" spans="1:6" ht="12.75" x14ac:dyDescent="0.2">
      <c r="A51" s="15"/>
      <c r="B51" s="15"/>
      <c r="C51" s="15"/>
      <c r="D51" s="15"/>
      <c r="E51" s="15"/>
      <c r="F51" s="15"/>
    </row>
    <row r="52" spans="1:6" ht="15.75" x14ac:dyDescent="0.25">
      <c r="A52" s="1"/>
      <c r="B52" s="1"/>
      <c r="C52" s="1"/>
      <c r="D52" s="1"/>
      <c r="E52" s="1"/>
      <c r="F52" s="1"/>
    </row>
  </sheetData>
  <mergeCells count="16">
    <mergeCell ref="E1:F1"/>
    <mergeCell ref="B46:F46"/>
    <mergeCell ref="A47:F47"/>
    <mergeCell ref="A48:F48"/>
    <mergeCell ref="B49:F49"/>
    <mergeCell ref="A50:F50"/>
    <mergeCell ref="A3:F3"/>
    <mergeCell ref="A4:F4"/>
    <mergeCell ref="A5:F5"/>
    <mergeCell ref="A6:F6"/>
    <mergeCell ref="A7:F7"/>
    <mergeCell ref="A8:A9"/>
    <mergeCell ref="B8:B9"/>
    <mergeCell ref="C8:C9"/>
    <mergeCell ref="D8:D9"/>
    <mergeCell ref="E8:F8"/>
  </mergeCells>
  <phoneticPr fontId="1" type="noConversion"/>
  <pageMargins left="0.31496062992125984" right="0.31496062992125984" top="0.39370078740157483" bottom="0.59055118110236227" header="0.39370078740157483" footer="0.39370078740157483"/>
  <pageSetup paperSize="9" orientation="portrait" r:id="rId1"/>
  <headerFooter>
    <oddFooter>&amp;R&amp;8&amp;P</oddFooter>
  </headerFooter>
  <ignoredErrors>
    <ignoredError sqref="A11:A40" twoDigitTextYear="1"/>
    <ignoredError sqref="A10:F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Лазин Илья Александрович</cp:lastModifiedBy>
  <cp:lastPrinted>2025-05-19T10:57:23Z</cp:lastPrinted>
  <dcterms:created xsi:type="dcterms:W3CDTF">2025-05-16T14:01:55Z</dcterms:created>
  <dcterms:modified xsi:type="dcterms:W3CDTF">2025-05-19T12:33:27Z</dcterms:modified>
</cp:coreProperties>
</file>